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<sst xmlns="http://schemas.openxmlformats.org/spreadsheetml/2006/main" count="158" uniqueCount="121">
  <si>
    <t>Площадь жилая</t>
  </si>
  <si>
    <t>Площадь нежилая</t>
  </si>
  <si>
    <t>№ п/п</t>
  </si>
  <si>
    <t>Наименование  работ</t>
  </si>
  <si>
    <t>Объём</t>
  </si>
  <si>
    <t>Ст-сть на ед.</t>
  </si>
  <si>
    <t>Периодичность</t>
  </si>
  <si>
    <t>раз в год</t>
  </si>
  <si>
    <t>Сумма в год</t>
  </si>
  <si>
    <t>Сумма в месяц</t>
  </si>
  <si>
    <r>
      <t>Тариф на м</t>
    </r>
    <r>
      <rPr>
        <b/>
        <vertAlign val="superscript"/>
        <sz val="10"/>
        <rFont val="Times New Roman"/>
        <family val="1"/>
      </rPr>
      <t>2</t>
    </r>
  </si>
  <si>
    <t>1</t>
  </si>
  <si>
    <t>Уборка лестничных клеток</t>
  </si>
  <si>
    <t>Влажное подметание лестничных площадок и маршей нижних трех этажей</t>
  </si>
  <si>
    <t>5 раз в неделю</t>
  </si>
  <si>
    <t>Влажное подметание лестничных площадок и маршей выше третьго этажа</t>
  </si>
  <si>
    <t>2 раза в неделю</t>
  </si>
  <si>
    <t>Влажное подметание балконов пожарной лестницы</t>
  </si>
  <si>
    <t>2 раза в месяц</t>
  </si>
  <si>
    <t>Мытье лестничных площадок и маршей  нижних трех этажей</t>
  </si>
  <si>
    <t>Мытье лестничных площадок и маршей выше третьего этажа</t>
  </si>
  <si>
    <t>Мытье лифтового холла</t>
  </si>
  <si>
    <t xml:space="preserve">Мытье окон   </t>
  </si>
  <si>
    <t>Влажная протирка элементов лестничных клеток (Влажная протирка стен, дверей, плафонов на лестничных клетках, оконных  решеток, чердачных лестниц)</t>
  </si>
  <si>
    <t>1 раз в год</t>
  </si>
  <si>
    <t>Влажная протирка элементов лестничных клеток (Влажная протирка  шкафов  для электросчетчиков и слаботочных устройств, почтовых ящиков,подоконники,поручни перил)</t>
  </si>
  <si>
    <t>1 раз в месяц</t>
  </si>
  <si>
    <t>Мытье пола кабины лифта</t>
  </si>
  <si>
    <t xml:space="preserve">Влажная протирка стен дверей, плафонов и потолков кабины лифта </t>
  </si>
  <si>
    <t>Уборка придомовой территории</t>
  </si>
  <si>
    <t>Уборка придомовой территории в ЛЕТНИЙ период</t>
  </si>
  <si>
    <t>Подметание отмостки</t>
  </si>
  <si>
    <t>3 раза в неделю</t>
  </si>
  <si>
    <t>Подметание входов в подъезды, пешеходных дорожек, проездов</t>
  </si>
  <si>
    <t>Подметание территории без покрытий</t>
  </si>
  <si>
    <t>Очистка детской площадки от мелкого мусора</t>
  </si>
  <si>
    <t>Уборка мусора с газонов</t>
  </si>
  <si>
    <t>Сезонная очистка газонов и территорий без покрытия  от опавшей  листвы, сучьев. Мусора</t>
  </si>
  <si>
    <t>2 раза в год</t>
  </si>
  <si>
    <t xml:space="preserve">Кошение травы  </t>
  </si>
  <si>
    <t>3 раза в год</t>
  </si>
  <si>
    <t>Полив газонов</t>
  </si>
  <si>
    <t>1 раз в неделю</t>
  </si>
  <si>
    <t>Полив тротуаров</t>
  </si>
  <si>
    <t>Очистка урн от мусора</t>
  </si>
  <si>
    <t>Уборка мусора с контейнерных площадок</t>
  </si>
  <si>
    <t>6 раз в неделю</t>
  </si>
  <si>
    <t>Уборка придомовой территории в ЗИМНИЙ период</t>
  </si>
  <si>
    <t>Уборка отмостки от снега</t>
  </si>
  <si>
    <t>Подметание свежевыпавшего снега с территорий толщиной до 2 см., сгребание снега в валы и кучи</t>
  </si>
  <si>
    <t>Сдвигание свежевыпавшего снега с территорий толщиной более 2 см движком в валы и кучи (асфальт)</t>
  </si>
  <si>
    <t xml:space="preserve">Уборка от снега пешеходных дорожек, входов в подъезды </t>
  </si>
  <si>
    <t>Сдвигание свежевыпавшего снега с территорий толщиной более  2 см движком в валы и кучи (асфальт)</t>
  </si>
  <si>
    <t>Очистка территории от уплотненного снега скребком. Сгребание снега в валы и кучи (1/5 площади)</t>
  </si>
  <si>
    <t>Посыпка песком подходов к подъездам  (1/5 площади)</t>
  </si>
  <si>
    <t>Очистка от наледи  подходов к подъездам</t>
  </si>
  <si>
    <t>Уборка снега  с проездов</t>
  </si>
  <si>
    <t>Сдвигание свежевыпавшего снега толщиной слоя  более 2 см движком в валы или  кучи</t>
  </si>
  <si>
    <t>Очистка территории от уплотненного снега скребком. Сгребание снега в валы или кучи (6% площади проездов)</t>
  </si>
  <si>
    <t>3</t>
  </si>
  <si>
    <t>Обслуживание мусоропровода</t>
  </si>
  <si>
    <t>Профилактический осмотр мусоропроводов</t>
  </si>
  <si>
    <t>Удаление мусора из мусороприемных камер</t>
  </si>
  <si>
    <t>Влажное подметание пола мусороприемных камер</t>
  </si>
  <si>
    <t>6 раз в год</t>
  </si>
  <si>
    <t>Дезинфекция всех элементов ствола мусоропровода</t>
  </si>
  <si>
    <t>4 раза в год</t>
  </si>
  <si>
    <t>Устранение неисправности работы мусоропроводов (засоры) 20%</t>
  </si>
  <si>
    <t>по необходимости</t>
  </si>
  <si>
    <t>4</t>
  </si>
  <si>
    <t>Дератизация</t>
  </si>
  <si>
    <t>Дезинсекция</t>
  </si>
  <si>
    <t>Содержание и обслуживание инженерного оборудования многоквартирного дома (систем отопления, ВС и ВО)</t>
  </si>
  <si>
    <t>Проведение технических осмотров, профилактический ремонт и устранение незначительных неисправностей в системах отопления, водоснабжения, водоотведения, а также: ремонт, регулировка, наладка и испытание систем центрального отопления; промывка, опрессовка, консервация и расконсервация системы отопления и поливомоечных систем; укрепление трубопроводов, проверка исправности канализационных вытяжек и устранение причин при обнаружении их неисправности, контроль параметров теплоносителя и воды и пр.</t>
  </si>
  <si>
    <t>По графику</t>
  </si>
  <si>
    <t>Обслуживание дизельгенераторной установки</t>
  </si>
  <si>
    <t>Содержание и обслуживание системы электроснабжения многоквартирного дома</t>
  </si>
  <si>
    <t>Проведение технических осмотров, профилактический ремонт и устранение незначительных неисправностей в системах электроснабжения, а также: мелкий ремонт изоляции, замена лампочек в МОП, обеспечение работоспособности устройств защитного отключения и пр.</t>
  </si>
  <si>
    <t>Содержание и обслуживание конструктивных элементов здания</t>
  </si>
  <si>
    <t>Проведение технических осмотров, профилактический ремонт и устранение незначительных неисправностей в конструктивных элементах здания, а также: смена и восстановление разбитых стекол; ремонт и укрепление окон и дверей; очистка кровли от мусора, грязи, наледи, снега, сосулек, очистка подвалов и т.д.</t>
  </si>
  <si>
    <t>8</t>
  </si>
  <si>
    <t>Обслуживание ППА</t>
  </si>
  <si>
    <t xml:space="preserve">Обслуживание систем ППА </t>
  </si>
  <si>
    <t>1 раз в Месяц</t>
  </si>
  <si>
    <t>9</t>
  </si>
  <si>
    <t>Аварийно-диспетчерское обслуживание</t>
  </si>
  <si>
    <t xml:space="preserve">Аварийно-диспетчерское обслуживание </t>
  </si>
  <si>
    <t>Круглосуточно</t>
  </si>
  <si>
    <t>10</t>
  </si>
  <si>
    <t>Обслуживание общедомовых приборов учета коммунальных услуг</t>
  </si>
  <si>
    <t>Тех.обслуживание ОПУ</t>
  </si>
  <si>
    <t>по договору</t>
  </si>
  <si>
    <t>Метрологическая поверка приборов</t>
  </si>
  <si>
    <t>11</t>
  </si>
  <si>
    <t>Механизированная уборка территории зимой</t>
  </si>
  <si>
    <t xml:space="preserve">Механизированная уборка зимой (маш.-часы) </t>
  </si>
  <si>
    <t>12</t>
  </si>
  <si>
    <t>Вывоз и утилизация снега с земельного участка</t>
  </si>
  <si>
    <t>Вывоз снега (м3)</t>
  </si>
  <si>
    <t>13</t>
  </si>
  <si>
    <t>Содержание объектов внешнего благоустройства</t>
  </si>
  <si>
    <t>Окраска и мелкий ремонт малых форм, ограждений, побелка поребриков, завоз песка,земли; прочие работы по внешнему благоустройству (побелка стволов деревьев и пр.)</t>
  </si>
  <si>
    <t>14</t>
  </si>
  <si>
    <t>Обслуживание лифтов</t>
  </si>
  <si>
    <t xml:space="preserve">Техническое обслуживание лифтов </t>
  </si>
  <si>
    <t>15</t>
  </si>
  <si>
    <t>5.3 Управление многоквартирным домом, в т.ч.</t>
  </si>
  <si>
    <t xml:space="preserve">Планирование работ по содержанию и ремонту общего имущества МКД; Планирование финансовых и технических ресурсов; Заключение договоров с подрядными организациями на выполнение работ по содержанию и ремонту общего имущества МКД, осуществление контроля за качеством их проведения, согласование объемов и стоимости выполненных работ; Проведение расчетов с поставщиками и подрядными организациями ЖКУ; Заключение договоров с РСО, осуществление контроля за обеспечением потребителей ком.услугами установленного качества и в установленном объеме; Проведение перерасчетов при предоставлении ком.услуг ненадлежащего качества и (или) с перерывами, превышающими установленную продолжительность; Хранение и ведение технической документации по МКД; Обеспечение соблюдения прав и интересов собственников помещений МКД в отношении общего имущества и применение мер при их нарушении; Установление фактов причинения вреда имуществу; Информирование граждан об изменении тарифов на ЖКУ; Предоставление устных и письменных разъяснений гражданам о порядке пользования жилыми помещениями и общим имуществом МКД; Подготовка предложений о проведении ремонтов общего имущества МКД; Взаимодействие с органами государственной власти и органами местного самоуправления. </t>
  </si>
  <si>
    <t>ежедневно</t>
  </si>
  <si>
    <t>Услуги паспортного стола (Осуществление регистрационного учёта граждан, в том числе выдача следующих справок: с места жительства; выписка из домовой книги;выписка из лицевого счёта. )</t>
  </si>
  <si>
    <t>по графику</t>
  </si>
  <si>
    <t xml:space="preserve">Услуги по истребованию задолженности по оплате жилых/нежилых помещений </t>
  </si>
  <si>
    <t xml:space="preserve">Услуги по организации начисления и приема платежей </t>
  </si>
  <si>
    <t>ИТОГО содержание жилья</t>
  </si>
  <si>
    <t>Вывоз твердых коммунальных отходов</t>
  </si>
  <si>
    <t xml:space="preserve">Вывоз и утилизация ТБО </t>
  </si>
  <si>
    <t>ИТОГО</t>
  </si>
  <si>
    <t>Дополнительные услуги</t>
  </si>
  <si>
    <t>Охрана</t>
  </si>
  <si>
    <t>круглосуточно</t>
  </si>
  <si>
    <t>Перечень работ по содержанию общего имущества многоквартирного дома
 на период с 01.12..2016 по 30.11.2017 г. по адресу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</si>
</sst>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23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49" fontId="3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right"/>
    </xf>
    <xf numFmtId="2" fontId="2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 horizontal="right" wrapText="1"/>
    </xf>
    <xf numFmtId="4" fontId="7" fillId="33" borderId="10" xfId="0" applyNumberFormat="1" applyFont="1" applyFill="1" applyBorder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top" wrapText="1"/>
    </xf>
    <xf numFmtId="2" fontId="11" fillId="0" borderId="10" xfId="0" applyNumberFormat="1" applyFont="1" applyFill="1" applyBorder="1" applyAlignment="1">
      <alignment horizontal="right"/>
    </xf>
    <xf numFmtId="2" fontId="11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right" wrapText="1"/>
    </xf>
    <xf numFmtId="4" fontId="2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 shrinkToFit="1"/>
    </xf>
    <xf numFmtId="49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4" fontId="12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 shrinkToFit="1"/>
    </xf>
    <xf numFmtId="0" fontId="7" fillId="0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2" fontId="11" fillId="33" borderId="10" xfId="0" applyNumberFormat="1" applyFont="1" applyFill="1" applyBorder="1" applyAlignment="1">
      <alignment horizontal="right"/>
    </xf>
    <xf numFmtId="2" fontId="11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right"/>
    </xf>
    <xf numFmtId="0" fontId="45" fillId="0" borderId="10" xfId="0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88;&#1080;&#1092;%20&#1076;&#1083;&#1103;%20&#1084;&#1077;&#1085;&#1103;\&#1050;&#1086;&#1089;&#1090;&#1099;&#1095;&#1077;&#1074;&#1072;%2074_1%20&#1076;&#1083;&#1103;%20&#1078;&#1080;&#1090;&#1077;&#1083;&#1077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4;&#1084;&#1077;&#1083;&#1100;&#1095;&#1077;&#1085;&#1082;&#1086;\&#1059;&#1050;%20&#1057;&#1090;&#1072;&#1085;&#1076;&#1072;&#1088;&#1090;\&#1058;&#1072;&#1088;&#1080;&#1092;&#1099;\2017\&#1087;&#1088;&#1072;&#1081;&#1089;&#1099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птимальный с корректировкой"/>
      <sheetName val="Характеристики"/>
      <sheetName val="Лист2"/>
    </sheetNames>
    <sheetDataSet>
      <sheetData sheetId="1">
        <row r="2">
          <cell r="A2" t="str">
            <v>ул.Костычева 74/1</v>
          </cell>
        </row>
        <row r="7">
          <cell r="C7">
            <v>36374.9</v>
          </cell>
        </row>
        <row r="8">
          <cell r="C8">
            <v>2600.4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хн.обсл."/>
      <sheetName val="санитар.обсл. "/>
      <sheetName val="Клининг"/>
      <sheetName val="Уборщица"/>
      <sheetName val="Дворник"/>
      <sheetName val="Инженерное обор"/>
      <sheetName val="Конструктив"/>
      <sheetName val="Калькуляция 1-го раз"/>
      <sheetName val="Калькуляция 2-го раз"/>
      <sheetName val="Калькуляция 3-го разр"/>
      <sheetName val="Калькул 4-го разр"/>
      <sheetName val="Калькул 5-го раз-да"/>
      <sheetName val="спецодежда"/>
      <sheetName val="Инвентарь"/>
      <sheetName val="паспорт"/>
      <sheetName val="прем платежей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tabSelected="1" view="pageBreakPreview" zoomScale="60" workbookViewId="0" topLeftCell="A1">
      <selection activeCell="H3" sqref="H3"/>
    </sheetView>
  </sheetViews>
  <sheetFormatPr defaultColWidth="9.140625" defaultRowHeight="15"/>
  <cols>
    <col min="1" max="1" width="6.00390625" style="0" customWidth="1"/>
    <col min="2" max="2" width="48.57421875" style="0" customWidth="1"/>
    <col min="4" max="4" width="7.7109375" style="0" customWidth="1"/>
    <col min="5" max="5" width="16.8515625" style="0" customWidth="1"/>
    <col min="7" max="7" width="12.28125" style="0" bestFit="1" customWidth="1"/>
    <col min="8" max="8" width="9.8515625" style="0" bestFit="1" customWidth="1"/>
  </cols>
  <sheetData>
    <row r="1" spans="1:9" ht="15">
      <c r="A1" s="1"/>
      <c r="B1" s="2" t="s">
        <v>0</v>
      </c>
      <c r="C1" s="2">
        <f>'[1]Характеристики'!C7</f>
        <v>36374.9</v>
      </c>
      <c r="D1" s="3"/>
      <c r="E1" s="2"/>
      <c r="F1" s="4"/>
      <c r="G1" s="5"/>
      <c r="H1" s="6"/>
      <c r="I1" s="6"/>
    </row>
    <row r="2" spans="1:9" ht="15">
      <c r="A2" s="1"/>
      <c r="B2" s="2" t="s">
        <v>1</v>
      </c>
      <c r="C2" s="2">
        <f>'[1]Характеристики'!C8</f>
        <v>2600.4</v>
      </c>
      <c r="D2" s="3"/>
      <c r="E2" s="2"/>
      <c r="F2" s="4"/>
      <c r="G2" s="5"/>
      <c r="H2" s="6"/>
      <c r="I2" s="6"/>
    </row>
    <row r="3" spans="1:9" ht="57.75">
      <c r="A3" s="7"/>
      <c r="B3" s="58" t="s">
        <v>120</v>
      </c>
      <c r="C3" s="8"/>
      <c r="D3" s="9"/>
      <c r="E3" s="10" t="str">
        <f>'[1]Характеристики'!A2</f>
        <v>ул.Костычева 74/1</v>
      </c>
      <c r="F3" s="11"/>
      <c r="G3" s="11"/>
      <c r="H3" s="11"/>
      <c r="I3" s="11"/>
    </row>
    <row r="4" spans="1:9" ht="15">
      <c r="A4" s="56" t="s">
        <v>2</v>
      </c>
      <c r="B4" s="57" t="s">
        <v>3</v>
      </c>
      <c r="C4" s="13"/>
      <c r="D4" s="12"/>
      <c r="E4" s="14"/>
      <c r="F4" s="15"/>
      <c r="G4" s="15"/>
      <c r="H4" s="15"/>
      <c r="I4" s="15"/>
    </row>
    <row r="5" spans="1:9" ht="28.5">
      <c r="A5" s="56"/>
      <c r="B5" s="57"/>
      <c r="C5" s="16" t="s">
        <v>4</v>
      </c>
      <c r="D5" s="16" t="s">
        <v>5</v>
      </c>
      <c r="E5" s="16" t="s">
        <v>6</v>
      </c>
      <c r="F5" s="17" t="s">
        <v>7</v>
      </c>
      <c r="G5" s="16" t="s">
        <v>8</v>
      </c>
      <c r="H5" s="16" t="s">
        <v>9</v>
      </c>
      <c r="I5" s="16" t="s">
        <v>10</v>
      </c>
    </row>
    <row r="6" spans="1:9" ht="15">
      <c r="A6" s="18" t="s">
        <v>11</v>
      </c>
      <c r="B6" s="19" t="s">
        <v>12</v>
      </c>
      <c r="C6" s="20"/>
      <c r="D6" s="21"/>
      <c r="E6" s="22"/>
      <c r="F6" s="23"/>
      <c r="G6" s="24">
        <f>SUM(G7:G17)</f>
        <v>2519549.717292512</v>
      </c>
      <c r="H6" s="24">
        <f>SUM(H7:H17)</f>
        <v>209962.47644104267</v>
      </c>
      <c r="I6" s="24">
        <f>SUM(I7:I17)</f>
        <v>5.387065049942981</v>
      </c>
    </row>
    <row r="7" spans="1:9" ht="25.5">
      <c r="A7" s="25"/>
      <c r="B7" s="26" t="s">
        <v>13</v>
      </c>
      <c r="C7" s="27">
        <v>1542.6000000000006</v>
      </c>
      <c r="D7" s="28">
        <v>1.9792633918141123</v>
      </c>
      <c r="E7" s="12" t="s">
        <v>14</v>
      </c>
      <c r="F7" s="28">
        <f aca="true" t="shared" si="0" ref="F7:F17">IF(E7="5 раз в неделю",52*5,IF(E7="3 раза в неделю",52*3,IF(E7="1 раз в неделю",52,IF(E7="1 раз в месяц",12,IF(E7="2 раза в месяц",12*2,IF(E7="1 раз в год",1,))))))</f>
        <v>260</v>
      </c>
      <c r="G7" s="29">
        <f>+C7*D7*F7</f>
        <v>793835.0441352372</v>
      </c>
      <c r="H7" s="30">
        <f>+G7/12</f>
        <v>66152.9203446031</v>
      </c>
      <c r="I7" s="30">
        <f>H7/SUM($C$1:$C$2)</f>
        <v>1.6973036857856925</v>
      </c>
    </row>
    <row r="8" spans="1:9" ht="26.25">
      <c r="A8" s="25"/>
      <c r="B8" s="31" t="s">
        <v>15</v>
      </c>
      <c r="C8" s="27">
        <v>6084.400000000002</v>
      </c>
      <c r="D8" s="28">
        <v>1.7224749782506874</v>
      </c>
      <c r="E8" s="12" t="s">
        <v>16</v>
      </c>
      <c r="F8" s="28">
        <f>IF(E8="5 раз в неделю",52*5,IF(E8="2 раза в неделю",52*2,IF(E8="1 раз в неделю",52,IF(E8="1 раз в месяц",12,IF(E8="2 раза в месяц",12*2,IF(E8="1 раз в год",1,))))))</f>
        <v>104</v>
      </c>
      <c r="G8" s="29">
        <f aca="true" t="shared" si="1" ref="G8:G17">+C8*D8*F8</f>
        <v>1089943.5827975227</v>
      </c>
      <c r="H8" s="30">
        <f aca="true" t="shared" si="2" ref="H8:H17">+G8/12</f>
        <v>90828.63189979356</v>
      </c>
      <c r="I8" s="30">
        <f aca="true" t="shared" si="3" ref="I8:I17">H8/SUM($C$1:$C$2)</f>
        <v>2.330415209114325</v>
      </c>
    </row>
    <row r="9" spans="1:9" ht="15">
      <c r="A9" s="25"/>
      <c r="B9" s="31" t="s">
        <v>17</v>
      </c>
      <c r="C9" s="27">
        <v>1403.3999999999999</v>
      </c>
      <c r="D9" s="28">
        <v>1.4353958152089061</v>
      </c>
      <c r="E9" s="12" t="s">
        <v>18</v>
      </c>
      <c r="F9" s="28">
        <f>IF(E9="5 раз в неделю",52*5,IF(E9="3 раза в неделю",52*3,IF(E9="1 раз в неделю",52,IF(E9="1 раз в месяц",12,IF(E9="2 раза в месяц",12*2,IF(E9="1 раз в год",1,))))))</f>
        <v>24</v>
      </c>
      <c r="G9" s="29">
        <f>+C9*D9*F9</f>
        <v>48346.42768954029</v>
      </c>
      <c r="H9" s="30">
        <f t="shared" si="2"/>
        <v>4028.8689741283574</v>
      </c>
      <c r="I9" s="30">
        <f t="shared" si="3"/>
        <v>0.10336980021009093</v>
      </c>
    </row>
    <row r="10" spans="1:9" ht="26.25">
      <c r="A10" s="25"/>
      <c r="B10" s="31" t="s">
        <v>19</v>
      </c>
      <c r="C10" s="27">
        <v>1542.6000000000006</v>
      </c>
      <c r="D10" s="28">
        <v>2.4733432675776648</v>
      </c>
      <c r="E10" s="12" t="s">
        <v>18</v>
      </c>
      <c r="F10" s="28">
        <f>IF(E10="5 раз в неделю",52*5,IF(E10="3 раза в неделю",52*3,IF(E10="1 раз в неделю",52,IF(E10="1 раз в месяц",12,IF(E10="2 раза в месяц",12*2,IF(E10="1 раз в год",1,))))))</f>
        <v>24</v>
      </c>
      <c r="G10" s="29">
        <f t="shared" si="1"/>
        <v>91569.10378956738</v>
      </c>
      <c r="H10" s="30">
        <f t="shared" si="2"/>
        <v>7630.758649130615</v>
      </c>
      <c r="I10" s="30">
        <f t="shared" si="3"/>
        <v>0.1957844750170137</v>
      </c>
    </row>
    <row r="11" spans="1:9" ht="26.25">
      <c r="A11" s="25"/>
      <c r="B11" s="31" t="s">
        <v>20</v>
      </c>
      <c r="C11" s="27">
        <v>6084.400000000002</v>
      </c>
      <c r="D11" s="28">
        <v>2.1201017063503653</v>
      </c>
      <c r="E11" s="12" t="s">
        <v>18</v>
      </c>
      <c r="F11" s="28">
        <f t="shared" si="0"/>
        <v>24</v>
      </c>
      <c r="G11" s="29">
        <f t="shared" si="1"/>
        <v>309589.123730836</v>
      </c>
      <c r="H11" s="30">
        <f t="shared" si="2"/>
        <v>25799.093644236335</v>
      </c>
      <c r="I11" s="30">
        <f t="shared" si="3"/>
        <v>0.6619344467967234</v>
      </c>
    </row>
    <row r="12" spans="1:9" ht="15">
      <c r="A12" s="25"/>
      <c r="B12" s="31" t="s">
        <v>21</v>
      </c>
      <c r="C12" s="27">
        <v>1198.1000000000004</v>
      </c>
      <c r="D12" s="28">
        <v>1.788876855560159</v>
      </c>
      <c r="E12" s="12" t="s">
        <v>18</v>
      </c>
      <c r="F12" s="28">
        <f>IF(E12="5 раз в неделю",52*5,IF(E12="3 раза в неделю",52*3,IF(E12="1 раз в неделю",52,IF(E12="1 раз в месяц",12,IF(E12="2 раза в месяц",12*2,IF(E12="1 раз в год",1,))))))</f>
        <v>24</v>
      </c>
      <c r="G12" s="29">
        <f>+C12*D12*F12</f>
        <v>51438.08065551905</v>
      </c>
      <c r="H12" s="30">
        <f t="shared" si="2"/>
        <v>4286.5067212932545</v>
      </c>
      <c r="I12" s="30">
        <f t="shared" si="3"/>
        <v>0.10998008280355133</v>
      </c>
    </row>
    <row r="13" spans="1:9" ht="15">
      <c r="A13" s="25"/>
      <c r="B13" s="31" t="s">
        <v>22</v>
      </c>
      <c r="C13" s="27">
        <v>0</v>
      </c>
      <c r="D13" s="28">
        <v>2.2566268715155506</v>
      </c>
      <c r="E13" s="12">
        <v>0</v>
      </c>
      <c r="F13" s="28">
        <v>1</v>
      </c>
      <c r="G13" s="29">
        <f t="shared" si="1"/>
        <v>0</v>
      </c>
      <c r="H13" s="30">
        <f t="shared" si="2"/>
        <v>0</v>
      </c>
      <c r="I13" s="30">
        <f t="shared" si="3"/>
        <v>0</v>
      </c>
    </row>
    <row r="14" spans="1:9" ht="39">
      <c r="A14" s="25"/>
      <c r="B14" s="32" t="s">
        <v>23</v>
      </c>
      <c r="C14" s="27">
        <v>12274.200000000004</v>
      </c>
      <c r="D14" s="28">
        <v>5.122899774473169</v>
      </c>
      <c r="E14" s="12" t="s">
        <v>24</v>
      </c>
      <c r="F14" s="28">
        <f t="shared" si="0"/>
        <v>1</v>
      </c>
      <c r="G14" s="29">
        <f t="shared" si="1"/>
        <v>62879.49641183859</v>
      </c>
      <c r="H14" s="30">
        <f t="shared" si="2"/>
        <v>5239.958034319882</v>
      </c>
      <c r="I14" s="30">
        <f t="shared" si="3"/>
        <v>0.13444304557809386</v>
      </c>
    </row>
    <row r="15" spans="1:9" ht="37.5" customHeight="1">
      <c r="A15" s="25"/>
      <c r="B15" s="32" t="s">
        <v>25</v>
      </c>
      <c r="C15" s="27">
        <v>1022.8500000000003</v>
      </c>
      <c r="D15" s="28">
        <v>3.294811058271125</v>
      </c>
      <c r="E15" s="12" t="s">
        <v>26</v>
      </c>
      <c r="F15" s="28">
        <f>IF(E15="5 раз в неделю",52*5,IF(E15="3 раза в неделю",52*3,IF(E15="1 раз в неделю",52,IF(E15="1 раз в месяц",12,IF(E15="2 раза в месяц",12*2,IF(E15="2 раза в год",2,))))))</f>
        <v>12</v>
      </c>
      <c r="G15" s="29">
        <f t="shared" si="1"/>
        <v>40441.16989143145</v>
      </c>
      <c r="H15" s="30">
        <f t="shared" si="2"/>
        <v>3370.097490952621</v>
      </c>
      <c r="I15" s="30">
        <f t="shared" si="3"/>
        <v>0.08646751894026783</v>
      </c>
    </row>
    <row r="16" spans="1:9" ht="15">
      <c r="A16" s="25"/>
      <c r="B16" s="31" t="s">
        <v>27</v>
      </c>
      <c r="C16" s="27">
        <v>27</v>
      </c>
      <c r="D16" s="28">
        <v>2.917135248953148</v>
      </c>
      <c r="E16" s="12" t="s">
        <v>14</v>
      </c>
      <c r="F16" s="28">
        <f t="shared" si="0"/>
        <v>260</v>
      </c>
      <c r="G16" s="29">
        <f t="shared" si="1"/>
        <v>20478.2894476511</v>
      </c>
      <c r="H16" s="30">
        <f t="shared" si="2"/>
        <v>1706.5241206375915</v>
      </c>
      <c r="I16" s="30">
        <f t="shared" si="3"/>
        <v>0.043784759081715634</v>
      </c>
    </row>
    <row r="17" spans="1:9" ht="26.25">
      <c r="A17" s="25"/>
      <c r="B17" s="31" t="s">
        <v>28</v>
      </c>
      <c r="C17" s="27">
        <v>200.21999999999997</v>
      </c>
      <c r="D17" s="28">
        <v>4.5905332231913</v>
      </c>
      <c r="E17" s="12" t="s">
        <v>26</v>
      </c>
      <c r="F17" s="28">
        <f t="shared" si="0"/>
        <v>12</v>
      </c>
      <c r="G17" s="29">
        <f t="shared" si="1"/>
        <v>11029.398743368343</v>
      </c>
      <c r="H17" s="30">
        <f t="shared" si="2"/>
        <v>919.1165619473619</v>
      </c>
      <c r="I17" s="30">
        <f t="shared" si="3"/>
        <v>0.02358202661550679</v>
      </c>
    </row>
    <row r="18" spans="1:9" ht="15">
      <c r="A18" s="18">
        <v>2</v>
      </c>
      <c r="B18" s="19" t="s">
        <v>29</v>
      </c>
      <c r="C18" s="20"/>
      <c r="D18" s="21"/>
      <c r="E18" s="22"/>
      <c r="F18" s="23"/>
      <c r="G18" s="24">
        <f>+(G19+G31)</f>
        <v>1723487.7660000003</v>
      </c>
      <c r="H18" s="24">
        <f>G18/12</f>
        <v>143623.98050000003</v>
      </c>
      <c r="I18" s="24">
        <f>H18/SUM($C$1:$C$2)</f>
        <v>3.6850000000000005</v>
      </c>
    </row>
    <row r="19" spans="1:9" ht="15">
      <c r="A19" s="33"/>
      <c r="B19" s="34" t="s">
        <v>30</v>
      </c>
      <c r="C19" s="27"/>
      <c r="D19" s="28"/>
      <c r="E19" s="35"/>
      <c r="F19" s="28"/>
      <c r="G19" s="36">
        <f>SUM(G20:G30)</f>
        <v>554007.2043586724</v>
      </c>
      <c r="H19" s="29"/>
      <c r="I19" s="29"/>
    </row>
    <row r="20" spans="1:9" ht="15">
      <c r="A20" s="33"/>
      <c r="B20" s="31" t="s">
        <v>31</v>
      </c>
      <c r="C20" s="27">
        <v>480</v>
      </c>
      <c r="D20" s="28">
        <v>0.3842613689156047</v>
      </c>
      <c r="E20" s="12" t="s">
        <v>32</v>
      </c>
      <c r="F20" s="28">
        <f>IF(E20="5 раз в неделю",52*5,IF(E20="3 раза в неделю",52*3,IF(E20="1 раз в неделю",52,IF(E20="1 раз в месяц",12,IF(E20="2 раза в месяц",12*2,IF(E20="1 раз в год",1,))))))/12*6</f>
        <v>78</v>
      </c>
      <c r="G20" s="29">
        <f>+C20*D20*F20</f>
        <v>14386.745652200241</v>
      </c>
      <c r="H20" s="30">
        <f aca="true" t="shared" si="4" ref="H20:H30">+G20/12</f>
        <v>1198.8954710166868</v>
      </c>
      <c r="I20" s="30">
        <f aca="true" t="shared" si="5" ref="I20:I30">H20/SUM($C$1:$C$2)</f>
        <v>0.03076039109427475</v>
      </c>
    </row>
    <row r="21" spans="1:9" ht="15">
      <c r="A21" s="33"/>
      <c r="B21" s="37" t="s">
        <v>33</v>
      </c>
      <c r="C21" s="27">
        <v>7210</v>
      </c>
      <c r="D21" s="28">
        <v>0.4805429122147885</v>
      </c>
      <c r="E21" s="12" t="s">
        <v>14</v>
      </c>
      <c r="F21" s="28">
        <f>IF(E21="5 раз в неделю",52*5,IF(E21="3 раза в неделю",52*3,IF(E21="1 раз в неделю",52,IF(E21="1 раз в месяц",12,IF(E21="2 раза в месяц",12*2,IF(E21="1 раз в год",1,))))))/12*6</f>
        <v>130</v>
      </c>
      <c r="G21" s="29">
        <f aca="true" t="shared" si="6" ref="G21:G30">+C21*D21*F21</f>
        <v>450412.8716189213</v>
      </c>
      <c r="H21" s="30">
        <f t="shared" si="4"/>
        <v>37534.40596824344</v>
      </c>
      <c r="I21" s="30">
        <f t="shared" si="5"/>
        <v>0.9630305852230371</v>
      </c>
    </row>
    <row r="22" spans="1:9" ht="15">
      <c r="A22" s="33"/>
      <c r="B22" s="37" t="s">
        <v>34</v>
      </c>
      <c r="C22" s="27"/>
      <c r="D22" s="28">
        <v>0.6246769590698541</v>
      </c>
      <c r="E22" s="14">
        <v>0</v>
      </c>
      <c r="F22" s="28">
        <f aca="true" t="shared" si="7" ref="F22:F29">IF(E22="5 раз в неделю",52*5,IF(E22="3 раза в неделю",52*3,IF(E22="1 раз в неделю",52,IF(E22="1 раз в месяц",12,IF(E22="2 раза в месяц",12*2,IF(E22="1 раз в год",1,))))))/12*6</f>
        <v>0</v>
      </c>
      <c r="G22" s="29">
        <f t="shared" si="6"/>
        <v>0</v>
      </c>
      <c r="H22" s="30">
        <f t="shared" si="4"/>
        <v>0</v>
      </c>
      <c r="I22" s="30">
        <f t="shared" si="5"/>
        <v>0</v>
      </c>
    </row>
    <row r="23" spans="1:9" ht="15">
      <c r="A23" s="33"/>
      <c r="B23" s="37" t="s">
        <v>35</v>
      </c>
      <c r="C23" s="27">
        <v>86.86</v>
      </c>
      <c r="D23" s="28">
        <v>0.3698479642300982</v>
      </c>
      <c r="E23" s="14" t="s">
        <v>14</v>
      </c>
      <c r="F23" s="28">
        <f t="shared" si="7"/>
        <v>130</v>
      </c>
      <c r="G23" s="29">
        <f t="shared" si="6"/>
        <v>4176.249242493423</v>
      </c>
      <c r="H23" s="30">
        <f t="shared" si="4"/>
        <v>348.02077020778523</v>
      </c>
      <c r="I23" s="30">
        <f t="shared" si="5"/>
        <v>0.008929264693479851</v>
      </c>
    </row>
    <row r="24" spans="1:9" ht="15">
      <c r="A24" s="33"/>
      <c r="B24" s="37" t="s">
        <v>36</v>
      </c>
      <c r="C24" s="27">
        <v>1280</v>
      </c>
      <c r="D24" s="28">
        <v>0.3698479642300982</v>
      </c>
      <c r="E24" s="38" t="s">
        <v>32</v>
      </c>
      <c r="F24" s="28">
        <f t="shared" si="7"/>
        <v>78</v>
      </c>
      <c r="G24" s="29">
        <f t="shared" si="6"/>
        <v>36925.620748733</v>
      </c>
      <c r="H24" s="30">
        <f t="shared" si="4"/>
        <v>3077.1350623944168</v>
      </c>
      <c r="I24" s="30">
        <f t="shared" si="5"/>
        <v>0.07895090127322732</v>
      </c>
    </row>
    <row r="25" spans="1:9" ht="26.25">
      <c r="A25" s="33"/>
      <c r="B25" s="32" t="s">
        <v>37</v>
      </c>
      <c r="C25" s="27">
        <v>1280</v>
      </c>
      <c r="D25" s="28">
        <v>5.092832411576886</v>
      </c>
      <c r="E25" s="38" t="s">
        <v>38</v>
      </c>
      <c r="F25" s="28">
        <f>IF(E25="5 раз в неделю",52*5,IF(E25="3 раза в неделю",52*3,IF(E25="1 раз в неделю",52,IF(E25="1 раз в месяц",12,IF(E25="2 раза в месяц",12*2,IF(E25="1 раз в год",1,IF(E25="2 раза в год",2,)))))))</f>
        <v>2</v>
      </c>
      <c r="G25" s="29">
        <f>+C25*D25*F25</f>
        <v>13037.650973636828</v>
      </c>
      <c r="H25" s="30">
        <f t="shared" si="4"/>
        <v>1086.4709144697356</v>
      </c>
      <c r="I25" s="30">
        <f t="shared" si="5"/>
        <v>0.02787588330223848</v>
      </c>
    </row>
    <row r="26" spans="1:9" ht="15">
      <c r="A26" s="33"/>
      <c r="B26" s="37" t="s">
        <v>39</v>
      </c>
      <c r="C26" s="27">
        <v>1280</v>
      </c>
      <c r="D26" s="28">
        <v>2.8250273183592847</v>
      </c>
      <c r="E26" s="38" t="s">
        <v>40</v>
      </c>
      <c r="F26" s="28">
        <f>IF(E26="5 раз в неделю",52*5,IF(E26="3 раза в неделю",52*3,IF(E26="1 раз в неделю",52,IF(E26="1 раз в месяц",12,IF(E26="2 раза в месяц",12*2,IF(E26="1 раз в год",1,IF(E26="2 раза в год",2,IF(E26="3 раза в год",3,))))))))</f>
        <v>3</v>
      </c>
      <c r="G26" s="29">
        <f t="shared" si="6"/>
        <v>10848.104902499654</v>
      </c>
      <c r="H26" s="30">
        <f t="shared" si="4"/>
        <v>904.0087418749712</v>
      </c>
      <c r="I26" s="30">
        <f t="shared" si="5"/>
        <v>0.023194401117501883</v>
      </c>
    </row>
    <row r="27" spans="1:9" ht="15">
      <c r="A27" s="33"/>
      <c r="B27" s="37" t="s">
        <v>41</v>
      </c>
      <c r="C27" s="27">
        <v>1280</v>
      </c>
      <c r="D27" s="28">
        <v>0.2882680937101311</v>
      </c>
      <c r="E27" s="38" t="s">
        <v>42</v>
      </c>
      <c r="F27" s="28">
        <f>IF(E27="5 раз в неделю",52*5,IF(E27="3 раза в неделю",52*3,IF(E27="1 раз в неделю",52,IF(E27="1 раз в месяц",12,IF(E27="2 раза в месяц",12*2,IF(E27="1 раз в год",1,IF(E27="2 раза в год",2,IF(E27="3 раза в год",3,))))))))/12*6</f>
        <v>26</v>
      </c>
      <c r="G27" s="29">
        <f>+C27*D27*F27</f>
        <v>9593.562158673165</v>
      </c>
      <c r="H27" s="30">
        <f>+G27/12</f>
        <v>799.4635132227637</v>
      </c>
      <c r="I27" s="30">
        <f>H27/SUM($C$1:$C$2)</f>
        <v>0.02051205541003568</v>
      </c>
    </row>
    <row r="28" spans="1:9" ht="15">
      <c r="A28" s="33"/>
      <c r="B28" s="37" t="s">
        <v>43</v>
      </c>
      <c r="C28" s="27">
        <v>2075</v>
      </c>
      <c r="D28" s="28">
        <v>0.36033511713766386</v>
      </c>
      <c r="E28" s="38" t="s">
        <v>38</v>
      </c>
      <c r="F28" s="28">
        <f>IF(E28="5 раз в неделю",52*5,IF(E28="3 раза в неделю",52*3,IF(E28="1 раз в неделю",52,IF(E28="1 раз в месяц",12,IF(E28="2 раза в месяц",12*2,IF(E28="1 раз в год",1,IF(E28="2 раза в год",2,IF(E28="3 раза в год",3,))))))))</f>
        <v>2</v>
      </c>
      <c r="G28" s="29">
        <f>+C28*D28*F28</f>
        <v>1495.390736121305</v>
      </c>
      <c r="H28" s="30">
        <f>+G28/12</f>
        <v>124.61589467677543</v>
      </c>
      <c r="I28" s="30">
        <f>H28/SUM($C$1:$C$2)</f>
        <v>0.003197304310082935</v>
      </c>
    </row>
    <row r="29" spans="1:9" ht="15">
      <c r="A29" s="33"/>
      <c r="B29" s="37" t="s">
        <v>44</v>
      </c>
      <c r="C29" s="27">
        <v>0</v>
      </c>
      <c r="D29" s="28">
        <v>11.242455654695112</v>
      </c>
      <c r="E29" s="14">
        <v>0</v>
      </c>
      <c r="F29" s="28">
        <f t="shared" si="7"/>
        <v>0</v>
      </c>
      <c r="G29" s="29">
        <f t="shared" si="6"/>
        <v>0</v>
      </c>
      <c r="H29" s="30">
        <f t="shared" si="4"/>
        <v>0</v>
      </c>
      <c r="I29" s="30">
        <f t="shared" si="5"/>
        <v>0</v>
      </c>
    </row>
    <row r="30" spans="1:9" ht="15">
      <c r="A30" s="33"/>
      <c r="B30" s="37" t="s">
        <v>45</v>
      </c>
      <c r="C30" s="27">
        <v>12</v>
      </c>
      <c r="D30" s="28">
        <v>7.014427524248619</v>
      </c>
      <c r="E30" s="14" t="s">
        <v>46</v>
      </c>
      <c r="F30" s="28">
        <f>IF(E30="5 раз в неделю",52*5,IF(E30="3 раза в неделю",52*3,IF(E30="1 раз в неделю",52,IF(E30="1 раз в месяц",12,IF(E30="2 раза в месяц",12*2,IF(E30="1 раз в год",1,IF(E30="1 раз в неделю",52,IF(E30="6 раз в неделю",312,))))))/12*6))</f>
        <v>156</v>
      </c>
      <c r="G30" s="29">
        <f t="shared" si="6"/>
        <v>13131.008325393415</v>
      </c>
      <c r="H30" s="30">
        <f t="shared" si="4"/>
        <v>1094.2506937827845</v>
      </c>
      <c r="I30" s="30">
        <f t="shared" si="5"/>
        <v>0.02807549124144739</v>
      </c>
    </row>
    <row r="31" spans="1:9" ht="15">
      <c r="A31" s="33"/>
      <c r="B31" s="34" t="s">
        <v>47</v>
      </c>
      <c r="C31" s="27"/>
      <c r="D31" s="28">
        <v>0</v>
      </c>
      <c r="E31" s="35"/>
      <c r="F31" s="28"/>
      <c r="G31" s="36">
        <f>SUM(G32:G44)</f>
        <v>1169480.5616413278</v>
      </c>
      <c r="H31" s="29"/>
      <c r="I31" s="29"/>
    </row>
    <row r="32" spans="1:9" ht="15">
      <c r="A32" s="33"/>
      <c r="B32" s="35" t="s">
        <v>48</v>
      </c>
      <c r="C32" s="27"/>
      <c r="D32" s="28">
        <v>0</v>
      </c>
      <c r="E32" s="12"/>
      <c r="F32" s="28"/>
      <c r="G32" s="29"/>
      <c r="H32" s="30"/>
      <c r="I32" s="30"/>
    </row>
    <row r="33" spans="1:9" ht="26.25">
      <c r="A33" s="33"/>
      <c r="B33" s="32" t="s">
        <v>49</v>
      </c>
      <c r="C33" s="27">
        <v>480</v>
      </c>
      <c r="D33" s="28">
        <v>0.6725294626257359</v>
      </c>
      <c r="E33" s="38" t="s">
        <v>42</v>
      </c>
      <c r="F33" s="28">
        <f>IF(E33="5 раз в неделю",52*5,IF(E33="3 раза в неделю",52*3,IF(E33="1 раз в неделю",52,IF(E33="1 раз в месяц",12,IF(E33="2 раза в месяц",12*2,IF(E33="1 раз в год",1,IF(E33="1 раз в неделю",52,IF(E33="6 раз в неделю",312,))))))/12*6))</f>
        <v>26</v>
      </c>
      <c r="G33" s="29">
        <f>+C33*D33*F33</f>
        <v>8393.167693569183</v>
      </c>
      <c r="H33" s="30">
        <f aca="true" t="shared" si="8" ref="H33:H44">+G33/12</f>
        <v>699.4306411307653</v>
      </c>
      <c r="I33" s="30">
        <f aca="true" t="shared" si="9" ref="I33:I44">H33/SUM($C$1:$C$2)</f>
        <v>0.017945484476854963</v>
      </c>
    </row>
    <row r="34" spans="1:9" ht="26.25">
      <c r="A34" s="33"/>
      <c r="B34" s="32" t="s">
        <v>50</v>
      </c>
      <c r="C34" s="27">
        <v>480</v>
      </c>
      <c r="D34" s="28">
        <v>2.930821708750903</v>
      </c>
      <c r="E34" s="38" t="s">
        <v>42</v>
      </c>
      <c r="F34" s="28">
        <f>IF(E34="5 раз в неделю",52*5,IF(E34="3 раза в неделю",52*3,IF(E34="1 раз в неделю",52,IF(E34="1 раз в месяц",12,IF(E34="2 раза в месяц",12*2,IF(E34="1 раз в год",1,IF(E34="1 раз в неделю",52,IF(E34="6 раз в неделю",312,))))))/12*6))</f>
        <v>26</v>
      </c>
      <c r="G34" s="29">
        <f>+C34*D34*F34</f>
        <v>36576.65492521127</v>
      </c>
      <c r="H34" s="30">
        <f t="shared" si="8"/>
        <v>3048.054577100939</v>
      </c>
      <c r="I34" s="30">
        <f t="shared" si="9"/>
        <v>0.07820477525768726</v>
      </c>
    </row>
    <row r="35" spans="1:9" ht="15">
      <c r="A35" s="33"/>
      <c r="B35" s="39" t="s">
        <v>51</v>
      </c>
      <c r="C35" s="27"/>
      <c r="D35" s="28">
        <v>0</v>
      </c>
      <c r="E35" s="38"/>
      <c r="F35" s="28"/>
      <c r="G35" s="29"/>
      <c r="H35" s="30"/>
      <c r="I35" s="30"/>
    </row>
    <row r="36" spans="1:9" ht="26.25">
      <c r="A36" s="33"/>
      <c r="B36" s="32" t="s">
        <v>49</v>
      </c>
      <c r="C36" s="27">
        <v>2075</v>
      </c>
      <c r="D36" s="28">
        <v>0.7688110059249197</v>
      </c>
      <c r="E36" s="38" t="s">
        <v>32</v>
      </c>
      <c r="F36" s="28">
        <f>IF(E36="5 раз в неделю",52*5,IF(E36="3 раза в неделю",52*3,IF(E36="1 раз в неделю",52,IF(E36="1 раз в месяц",12,IF(E36="2 раза в месяц",12*2,IF(E36="1 раз в год",1,IF(E36="1 раз в неделю",52,IF(E36="6 раз в неделю",312,))))))))/12*6</f>
        <v>78</v>
      </c>
      <c r="G36" s="29">
        <f>+C36*D36*F36</f>
        <v>124432.06130894825</v>
      </c>
      <c r="H36" s="30">
        <f t="shared" si="8"/>
        <v>10369.338442412354</v>
      </c>
      <c r="I36" s="30">
        <f t="shared" si="9"/>
        <v>0.26604897056372506</v>
      </c>
    </row>
    <row r="37" spans="1:9" ht="26.25">
      <c r="A37" s="33"/>
      <c r="B37" s="32" t="s">
        <v>52</v>
      </c>
      <c r="C37" s="27">
        <v>2075</v>
      </c>
      <c r="D37" s="28">
        <v>3.411076352871981</v>
      </c>
      <c r="E37" s="38" t="s">
        <v>42</v>
      </c>
      <c r="F37" s="28">
        <f>IF(E37="5 раз в неделю",52*5,IF(E37="3 раза в неделю",52*3,IF(E37="1 раз в неделю",52,IF(E37="1 раз в месяц",12,IF(E37="2 раза в месяц",12*2,IF(E37="1 раз в год",1,IF(E37="1 раз в неделю",52,IF(E37="6 раз в неделю",312,))))))))/12*6</f>
        <v>26</v>
      </c>
      <c r="G37" s="29">
        <f>+C37*D37*F37</f>
        <v>184027.56923744336</v>
      </c>
      <c r="H37" s="30">
        <f t="shared" si="8"/>
        <v>15335.630769786947</v>
      </c>
      <c r="I37" s="30">
        <f t="shared" si="9"/>
        <v>0.3934704997725982</v>
      </c>
    </row>
    <row r="38" spans="1:9" ht="26.25">
      <c r="A38" s="33"/>
      <c r="B38" s="32" t="s">
        <v>53</v>
      </c>
      <c r="C38" s="27">
        <v>415</v>
      </c>
      <c r="D38" s="28">
        <v>10.858194285779508</v>
      </c>
      <c r="E38" s="38" t="s">
        <v>42</v>
      </c>
      <c r="F38" s="28">
        <f>IF(E38="5 раз в неделю",52*5,IF(E38="3 раза в неделю",52*3,IF(E38="1 раз в неделю",52,IF(E38="1 раз в месяц",12,IF(E38="2 раза в месяц",12*2,IF(E38="1 раз в год",1,IF(E38="1 раз в неделю",52,IF(E38="6 раз в неделю",312,))))))))/12*6</f>
        <v>26</v>
      </c>
      <c r="G38" s="29">
        <f>+C38*D38*F38</f>
        <v>117159.9163435609</v>
      </c>
      <c r="H38" s="30">
        <f t="shared" si="8"/>
        <v>9763.326361963407</v>
      </c>
      <c r="I38" s="30">
        <f t="shared" si="9"/>
        <v>0.25050035181161934</v>
      </c>
    </row>
    <row r="39" spans="1:9" ht="15">
      <c r="A39" s="33"/>
      <c r="B39" s="37" t="s">
        <v>54</v>
      </c>
      <c r="C39" s="27">
        <v>415</v>
      </c>
      <c r="D39" s="28">
        <v>0.741137268928747</v>
      </c>
      <c r="E39" s="38" t="s">
        <v>42</v>
      </c>
      <c r="F39" s="28">
        <f>IF(E39="5 раз в неделю",52*5,IF(E39="3 раза в неделю",52*3,IF(E39="1 раз в неделю",52,IF(E39="1 раз в месяц",12,IF(E39="2 раза в месяц",12*2,IF(E39="1 раз в год",1,IF(E39="1 раз в неделю",52,IF(E39="6 раз в неделю",312,))))))))/12*6</f>
        <v>26</v>
      </c>
      <c r="G39" s="29">
        <f>+C39*D39*F39</f>
        <v>7996.871131741181</v>
      </c>
      <c r="H39" s="30">
        <f t="shared" si="8"/>
        <v>666.4059276450984</v>
      </c>
      <c r="I39" s="30">
        <f t="shared" si="9"/>
        <v>0.017098160312944307</v>
      </c>
    </row>
    <row r="40" spans="1:9" ht="15">
      <c r="A40" s="33"/>
      <c r="B40" s="37" t="s">
        <v>55</v>
      </c>
      <c r="C40" s="27">
        <v>207.5</v>
      </c>
      <c r="D40" s="28">
        <v>21.52411375305436</v>
      </c>
      <c r="E40" s="38" t="s">
        <v>42</v>
      </c>
      <c r="F40" s="28">
        <f>IF(E40="5 раз в неделю",52*5,IF(E40="3 раза в неделю",52*3,IF(E40="1 раз в неделю",52,IF(E40="1 раз в месяц",12,IF(E40="2 раза в месяц",12*2,IF(E40="1 раз в год",1,IF(E40="1 раз в неделю",52,IF(E40="6 раз в неделю",312,))))))))/12*6</f>
        <v>26</v>
      </c>
      <c r="G40" s="29">
        <f>+C40*D40*F40</f>
        <v>116122.59369772827</v>
      </c>
      <c r="H40" s="30">
        <f t="shared" si="8"/>
        <v>9676.882808144022</v>
      </c>
      <c r="I40" s="30">
        <f t="shared" si="9"/>
        <v>0.248282445757801</v>
      </c>
    </row>
    <row r="41" spans="1:9" ht="15">
      <c r="A41" s="33"/>
      <c r="B41" s="39" t="s">
        <v>56</v>
      </c>
      <c r="C41" s="27"/>
      <c r="D41" s="28">
        <v>0</v>
      </c>
      <c r="E41" s="38"/>
      <c r="F41" s="28"/>
      <c r="G41" s="29"/>
      <c r="H41" s="30"/>
      <c r="I41" s="30"/>
    </row>
    <row r="42" spans="1:9" ht="26.25">
      <c r="A42" s="33"/>
      <c r="B42" s="32" t="s">
        <v>57</v>
      </c>
      <c r="C42" s="27">
        <v>5135</v>
      </c>
      <c r="D42" s="28">
        <v>3.411076352871981</v>
      </c>
      <c r="E42" s="38" t="s">
        <v>42</v>
      </c>
      <c r="F42" s="28">
        <f>IF(E42="5 раз в неделю",52*5,IF(E42="3 раза в неделю",52*3,IF(E42="1 раз в неделю",52,IF(E42="1 раз в месяц",12,IF(E42="2 раза в месяц",12*2,IF(E42="1 раз в год",1,IF(E42="1 раз в неделю",52,IF(E42="6 раз в неделю",312,))))))))/12*6</f>
        <v>26</v>
      </c>
      <c r="G42" s="29">
        <f>+C42*D42*F42</f>
        <v>455412.8038719382</v>
      </c>
      <c r="H42" s="30">
        <f t="shared" si="8"/>
        <v>37951.06698932818</v>
      </c>
      <c r="I42" s="30">
        <f t="shared" si="9"/>
        <v>0.9737209717264057</v>
      </c>
    </row>
    <row r="43" spans="1:9" ht="26.25">
      <c r="A43" s="33"/>
      <c r="B43" s="32" t="s">
        <v>58</v>
      </c>
      <c r="C43" s="27">
        <v>308.09999999999997</v>
      </c>
      <c r="D43" s="28">
        <v>10.858194285779508</v>
      </c>
      <c r="E43" s="38" t="s">
        <v>42</v>
      </c>
      <c r="F43" s="28">
        <f>IF(E43="5 раз в неделю",52*5,IF(E43="3 раза в неделю",52*3,IF(E43="1 раз в неделю",52,IF(E43="1 раз в месяц",12,IF(E43="2 раза в месяц",12*2,IF(E43="1 раз в год",1,IF(E43="1 раз в неделю",52,IF(E43="6 раз в неделю",312,))))))))/12*6</f>
        <v>26</v>
      </c>
      <c r="G43" s="29">
        <f>+C43*D43*F43</f>
        <v>86980.65114566531</v>
      </c>
      <c r="H43" s="30">
        <f t="shared" si="8"/>
        <v>7248.387595472109</v>
      </c>
      <c r="I43" s="30">
        <f t="shared" si="9"/>
        <v>0.18597387564616844</v>
      </c>
    </row>
    <row r="44" spans="1:9" ht="15">
      <c r="A44" s="33"/>
      <c r="B44" s="37" t="s">
        <v>45</v>
      </c>
      <c r="C44" s="27">
        <v>12</v>
      </c>
      <c r="D44" s="28">
        <v>17.296085622607865</v>
      </c>
      <c r="E44" s="14" t="s">
        <v>46</v>
      </c>
      <c r="F44" s="28">
        <f>IF(E44="5 раз в неделю",52*5,IF(E44="3 раза в неделю",52*3,IF(E44="1 раз в неделю",52,IF(E44="1 раз в месяц",12,IF(E44="2 раза в месяц",12*2,IF(E44="1 раз в год",1,IF(E44="1 раз в неделю",52,IF(E44="6 раз в неделю",312,))))))/12*6))</f>
        <v>156</v>
      </c>
      <c r="G44" s="29">
        <f>+C44*D44*F44</f>
        <v>32378.272285521925</v>
      </c>
      <c r="H44" s="30">
        <f t="shared" si="8"/>
        <v>2698.189357126827</v>
      </c>
      <c r="I44" s="30">
        <f t="shared" si="9"/>
        <v>0.0692281870088704</v>
      </c>
    </row>
    <row r="45" spans="1:9" ht="15">
      <c r="A45" s="18" t="s">
        <v>59</v>
      </c>
      <c r="B45" s="40" t="s">
        <v>60</v>
      </c>
      <c r="C45" s="41"/>
      <c r="D45" s="42"/>
      <c r="E45" s="43"/>
      <c r="F45" s="42"/>
      <c r="G45" s="44">
        <f>SUM(G46:G50)</f>
        <v>0</v>
      </c>
      <c r="H45" s="44">
        <f>SUM(H46:H50)</f>
        <v>0</v>
      </c>
      <c r="I45" s="44">
        <f>SUM(I46:I50)</f>
        <v>0</v>
      </c>
    </row>
    <row r="46" spans="1:9" ht="15">
      <c r="A46" s="33"/>
      <c r="B46" s="37" t="s">
        <v>61</v>
      </c>
      <c r="C46" s="27"/>
      <c r="D46" s="28">
        <v>9.14</v>
      </c>
      <c r="E46" s="12" t="s">
        <v>42</v>
      </c>
      <c r="F46" s="28">
        <f>IF(E46="5 раз в неделю",52*5,IF(E46="3 раза в неделю",52*3,IF(E46="1 раз в неделю",52,IF(E46="1 раз в месяц",12,IF(E46="2 раза в месяц",12*2,IF(E46="1 раз в год",1,))))))</f>
        <v>52</v>
      </c>
      <c r="G46" s="29">
        <f>+C46*D46*F46</f>
        <v>0</v>
      </c>
      <c r="H46" s="30">
        <f>+G46/12</f>
        <v>0</v>
      </c>
      <c r="I46" s="30">
        <f>H46/SUM($C$1:$C$2)</f>
        <v>0</v>
      </c>
    </row>
    <row r="47" spans="1:9" ht="15">
      <c r="A47" s="33"/>
      <c r="B47" s="37" t="s">
        <v>62</v>
      </c>
      <c r="C47" s="27"/>
      <c r="D47" s="28">
        <v>333.31</v>
      </c>
      <c r="E47" s="12" t="s">
        <v>14</v>
      </c>
      <c r="F47" s="28">
        <f>IF(E47="5 раз в неделю",52*5,IF(E47="3 раза в неделю",52*3,IF(E47="1 раз в неделю",52,IF(E47="1 раз в месяц",12,IF(E47="2 раза в месяц",12*2,IF(E47="1 раз в год",1,))))))</f>
        <v>260</v>
      </c>
      <c r="G47" s="29">
        <f>+C47*D47*F47</f>
        <v>0</v>
      </c>
      <c r="H47" s="30">
        <f>+G47/12</f>
        <v>0</v>
      </c>
      <c r="I47" s="30">
        <f>H47/SUM($C$1:$C$2)</f>
        <v>0</v>
      </c>
    </row>
    <row r="48" spans="1:9" ht="15">
      <c r="A48" s="33"/>
      <c r="B48" s="37" t="s">
        <v>63</v>
      </c>
      <c r="C48" s="27"/>
      <c r="D48" s="28">
        <v>22.73</v>
      </c>
      <c r="E48" s="12" t="s">
        <v>64</v>
      </c>
      <c r="F48" s="28">
        <f>IF(E48="5 раз в неделю",52*5,IF(E48="3 раза в неделю",52*3,IF(E48="1 раз в неделю",52,IF(E48="1 раз в месяц",12,IF(E48="2 раза в месяц",12*2,IF(E48="6 раз в год",6,))))))</f>
        <v>6</v>
      </c>
      <c r="G48" s="29">
        <f>+C48*D48*F48</f>
        <v>0</v>
      </c>
      <c r="H48" s="30">
        <f>+G48/12</f>
        <v>0</v>
      </c>
      <c r="I48" s="30">
        <f>H48/SUM($C$1:$C$2)</f>
        <v>0</v>
      </c>
    </row>
    <row r="49" spans="1:9" ht="15">
      <c r="A49" s="33"/>
      <c r="B49" s="37" t="s">
        <v>65</v>
      </c>
      <c r="C49" s="27"/>
      <c r="D49" s="28">
        <v>410</v>
      </c>
      <c r="E49" s="12" t="s">
        <v>66</v>
      </c>
      <c r="F49" s="28">
        <f>IF(E49="5 раз в неделю",52*5,IF(E49="3 раза в неделю",52*3,IF(E49="4 раза в год",4,IF(E49="1 раз в неделю",52,IF(E49="1 раз в месяц",12,IF(E49="2 раза в месяц",12*2,IF(E49="1 раз в год",1,)))))))</f>
        <v>4</v>
      </c>
      <c r="G49" s="29">
        <f>+C49*D49*F49</f>
        <v>0</v>
      </c>
      <c r="H49" s="30">
        <f>+G49/12</f>
        <v>0</v>
      </c>
      <c r="I49" s="30">
        <f>H49/SUM($C$1:$C$2)</f>
        <v>0</v>
      </c>
    </row>
    <row r="50" spans="1:9" ht="15">
      <c r="A50" s="33"/>
      <c r="B50" s="37" t="s">
        <v>67</v>
      </c>
      <c r="C50" s="27"/>
      <c r="D50" s="28"/>
      <c r="E50" s="12" t="s">
        <v>68</v>
      </c>
      <c r="F50" s="28">
        <f>IF(E50="5 раз в неделю",21.1,IF(E50="3 раза в неделю",12.66,IF(E50="1 раз в год",0.0833333,IF(E50="1 раз в неделю",4.22,IF(E50="2 раза в год",0.166,IF(E50="15 раз в год",1.245,IF(E50="3 раза в год",0.249,IF(E50="20 раз в год",1.66))))))))+IF(E50="4 раза в год",0.332,IF(E50="1 раз в месяц",1,IF(E50="ежедневно",1,IF(E50="2 раза в месяц",2,IF(E50="10 раз в год",0.8,IF(E50="2 раза в неделю",8.44,IF(E50="2 раза за летний период",0.34,IF(E50="15 раз за летний период",2.55))))))))+(IF(E50="3 раза за летний период",0.5,IF(E50="15 раз за зимний период",2.55,IF(E50="20 раз за зимний период",3.4,IF(E50="10 раз за зимний период",1.7)))))</f>
        <v>0</v>
      </c>
      <c r="G50" s="29">
        <f>SUM(G46:G49)*0.2</f>
        <v>0</v>
      </c>
      <c r="H50" s="30">
        <f>+G50/12</f>
        <v>0</v>
      </c>
      <c r="I50" s="30">
        <f>H50/SUM($C$1:$C$2)</f>
        <v>0</v>
      </c>
    </row>
    <row r="51" spans="1:9" ht="15">
      <c r="A51" s="18" t="s">
        <v>69</v>
      </c>
      <c r="B51" s="40" t="s">
        <v>70</v>
      </c>
      <c r="C51" s="41"/>
      <c r="D51" s="42"/>
      <c r="E51" s="43"/>
      <c r="F51" s="42"/>
      <c r="G51" s="44">
        <f>SUM(G52:G53)</f>
        <v>16195.4</v>
      </c>
      <c r="H51" s="44">
        <f>SUM(H52:H53)</f>
        <v>1349.6166666666668</v>
      </c>
      <c r="I51" s="44">
        <f>SUM(I52:I53)</f>
        <v>0.03462748629687691</v>
      </c>
    </row>
    <row r="52" spans="1:9" ht="15">
      <c r="A52" s="33"/>
      <c r="B52" s="37" t="s">
        <v>70</v>
      </c>
      <c r="C52" s="27">
        <v>3114.5</v>
      </c>
      <c r="D52" s="28">
        <v>0.2</v>
      </c>
      <c r="E52" s="38" t="s">
        <v>26</v>
      </c>
      <c r="F52" s="28">
        <f>IF(E52="5 раз в неделю",52*5,IF(E52="3 раза в неделю",52*3,IF(E52="1 раз в неделю",52,IF(E52="1 раз в месяц",12,IF(E52="2 раза в месяц",12*2,IF(E52="1 раз в год",1,IF(E52="4 раза в год",4,)))))))</f>
        <v>12</v>
      </c>
      <c r="G52" s="29">
        <f>+C52*D52*F52</f>
        <v>7474.800000000001</v>
      </c>
      <c r="H52" s="30">
        <f>+G52/12</f>
        <v>622.9000000000001</v>
      </c>
      <c r="I52" s="30">
        <f>H52/SUM($C$1:$C$2)</f>
        <v>0.015981916752404728</v>
      </c>
    </row>
    <row r="53" spans="1:9" ht="15">
      <c r="A53" s="33"/>
      <c r="B53" s="37" t="s">
        <v>71</v>
      </c>
      <c r="C53" s="27">
        <v>3114.5</v>
      </c>
      <c r="D53" s="28">
        <v>0.7</v>
      </c>
      <c r="E53" s="12" t="s">
        <v>66</v>
      </c>
      <c r="F53" s="28">
        <f>IF(E53="5 раз в неделю",52*5,IF(E53="3 раза в неделю",52*3,IF(E53="1 раз в неделю",52,IF(E53="1 раз в месяц",12,IF(E53="2 раза в месяц",12*2,IF(E53="1 раз в год",1,IF(E53="4 раза в год",4,)))))))</f>
        <v>4</v>
      </c>
      <c r="G53" s="29">
        <f>+C53*D53*F53</f>
        <v>8720.599999999999</v>
      </c>
      <c r="H53" s="30">
        <f>+G53/12</f>
        <v>726.7166666666666</v>
      </c>
      <c r="I53" s="30">
        <f>H53/SUM($C$1:$C$2)</f>
        <v>0.01864556954447218</v>
      </c>
    </row>
    <row r="54" spans="1:9" ht="15">
      <c r="A54" s="18">
        <v>5</v>
      </c>
      <c r="B54" s="40" t="s">
        <v>72</v>
      </c>
      <c r="C54" s="41"/>
      <c r="D54" s="42"/>
      <c r="E54" s="43"/>
      <c r="F54" s="42"/>
      <c r="G54" s="44">
        <f>SUM(G55:G56)</f>
        <v>934678.9400000001</v>
      </c>
      <c r="H54" s="44">
        <f>SUM(H55:H56)</f>
        <v>77889.91166666668</v>
      </c>
      <c r="I54" s="44">
        <f>SUM(I55:I56)</f>
        <v>1.998442902727283</v>
      </c>
    </row>
    <row r="55" spans="1:9" ht="128.25">
      <c r="A55" s="33"/>
      <c r="B55" s="45" t="s">
        <v>73</v>
      </c>
      <c r="C55" s="27">
        <v>38975.3</v>
      </c>
      <c r="D55" s="28">
        <v>1.9</v>
      </c>
      <c r="E55" s="38" t="s">
        <v>74</v>
      </c>
      <c r="F55" s="28">
        <v>12</v>
      </c>
      <c r="G55" s="29">
        <f>C55*D55*F55</f>
        <v>888636.8400000001</v>
      </c>
      <c r="H55" s="30">
        <f>+G55/12</f>
        <v>74053.07</v>
      </c>
      <c r="I55" s="30">
        <f>H55/SUM($C$1:$C$2)</f>
        <v>1.9000000000000001</v>
      </c>
    </row>
    <row r="56" spans="1:9" ht="15">
      <c r="A56" s="33"/>
      <c r="B56" s="45" t="s">
        <v>75</v>
      </c>
      <c r="C56" s="27">
        <v>1</v>
      </c>
      <c r="D56" s="28">
        <v>3836.841666666667</v>
      </c>
      <c r="E56" s="38" t="s">
        <v>74</v>
      </c>
      <c r="F56" s="28">
        <v>12</v>
      </c>
      <c r="G56" s="29">
        <f>C56*D56*F56</f>
        <v>46042.100000000006</v>
      </c>
      <c r="H56" s="30">
        <f>+G56/12</f>
        <v>3836.841666666667</v>
      </c>
      <c r="I56" s="30">
        <f>H56/SUM($C$1:$C$2)</f>
        <v>0.09844290272728284</v>
      </c>
    </row>
    <row r="57" spans="1:9" ht="15">
      <c r="A57" s="18">
        <v>6</v>
      </c>
      <c r="B57" s="40" t="s">
        <v>76</v>
      </c>
      <c r="C57" s="41"/>
      <c r="D57" s="42"/>
      <c r="E57" s="43"/>
      <c r="F57" s="42"/>
      <c r="G57" s="44">
        <f>SUM(G58)</f>
        <v>374162.88000000006</v>
      </c>
      <c r="H57" s="44">
        <f>SUM(H58)</f>
        <v>31180.240000000005</v>
      </c>
      <c r="I57" s="44">
        <f>SUM(I58)</f>
        <v>0.8</v>
      </c>
    </row>
    <row r="58" spans="1:9" ht="77.25">
      <c r="A58" s="33"/>
      <c r="B58" s="45" t="s">
        <v>77</v>
      </c>
      <c r="C58" s="27">
        <v>38975.3</v>
      </c>
      <c r="D58" s="46">
        <v>0.8</v>
      </c>
      <c r="E58" s="38" t="s">
        <v>74</v>
      </c>
      <c r="F58" s="30">
        <v>12</v>
      </c>
      <c r="G58" s="29">
        <f>C58*D58*F58</f>
        <v>374162.88000000006</v>
      </c>
      <c r="H58" s="30">
        <f>+G58/12</f>
        <v>31180.240000000005</v>
      </c>
      <c r="I58" s="30">
        <f>H58/SUM($C$1:$C$2)</f>
        <v>0.8</v>
      </c>
    </row>
    <row r="59" spans="1:9" ht="15">
      <c r="A59" s="18">
        <v>7</v>
      </c>
      <c r="B59" s="40" t="s">
        <v>78</v>
      </c>
      <c r="C59" s="41"/>
      <c r="D59" s="42"/>
      <c r="E59" s="43"/>
      <c r="F59" s="42"/>
      <c r="G59" s="44">
        <f>SUM(G60:G61)</f>
        <v>378098.6352000001</v>
      </c>
      <c r="H59" s="44">
        <f>SUM(H60:H61)</f>
        <v>31508.219600000004</v>
      </c>
      <c r="I59" s="44">
        <f>SUM(I60:I61)</f>
        <v>0.808415062873153</v>
      </c>
    </row>
    <row r="60" spans="1:9" ht="77.25">
      <c r="A60" s="33"/>
      <c r="B60" s="45" t="s">
        <v>79</v>
      </c>
      <c r="C60" s="27">
        <v>3787.68</v>
      </c>
      <c r="D60" s="46">
        <v>4.82</v>
      </c>
      <c r="E60" s="38" t="s">
        <v>74</v>
      </c>
      <c r="F60" s="30">
        <v>12</v>
      </c>
      <c r="G60" s="29">
        <f>C60*D60*F60</f>
        <v>219079.41120000003</v>
      </c>
      <c r="H60" s="30">
        <f>+G60/12</f>
        <v>18256.6176</v>
      </c>
      <c r="I60" s="30">
        <f>H60/SUM($C$1:$C$2)</f>
        <v>0.468415062873153</v>
      </c>
    </row>
    <row r="61" spans="1:9" ht="15">
      <c r="A61" s="33"/>
      <c r="B61" s="45"/>
      <c r="C61" s="27">
        <v>38975.3</v>
      </c>
      <c r="D61" s="46">
        <v>0.34</v>
      </c>
      <c r="E61" s="38" t="s">
        <v>74</v>
      </c>
      <c r="F61" s="30">
        <v>12</v>
      </c>
      <c r="G61" s="29">
        <f>C61*D61*F61</f>
        <v>159019.22400000005</v>
      </c>
      <c r="H61" s="30">
        <f>+G61/12</f>
        <v>13251.602000000004</v>
      </c>
      <c r="I61" s="30">
        <f>H61/SUM($C$1:$C$2)</f>
        <v>0.3400000000000001</v>
      </c>
    </row>
    <row r="62" spans="1:9" ht="15">
      <c r="A62" s="18" t="s">
        <v>80</v>
      </c>
      <c r="B62" s="40" t="s">
        <v>81</v>
      </c>
      <c r="C62" s="41"/>
      <c r="D62" s="42"/>
      <c r="E62" s="43"/>
      <c r="F62" s="42"/>
      <c r="G62" s="44">
        <f>SUM(G63)</f>
        <v>692201.328</v>
      </c>
      <c r="H62" s="44">
        <f>SUM(H63)</f>
        <v>57683.443999999996</v>
      </c>
      <c r="I62" s="44">
        <f>SUM(I63)</f>
        <v>1.4799999999999998</v>
      </c>
    </row>
    <row r="63" spans="1:9" ht="15">
      <c r="A63" s="33"/>
      <c r="B63" s="37" t="s">
        <v>82</v>
      </c>
      <c r="C63" s="27">
        <v>1</v>
      </c>
      <c r="D63" s="28">
        <v>57683.444</v>
      </c>
      <c r="E63" s="38" t="s">
        <v>83</v>
      </c>
      <c r="F63" s="28">
        <v>12</v>
      </c>
      <c r="G63" s="29">
        <f>C63*D63*F63</f>
        <v>692201.328</v>
      </c>
      <c r="H63" s="30">
        <f>+G63/12</f>
        <v>57683.443999999996</v>
      </c>
      <c r="I63" s="30">
        <f>H63/SUM($C$1:$C$2)</f>
        <v>1.4799999999999998</v>
      </c>
    </row>
    <row r="64" spans="1:9" ht="15">
      <c r="A64" s="18" t="s">
        <v>84</v>
      </c>
      <c r="B64" s="40" t="s">
        <v>85</v>
      </c>
      <c r="C64" s="41"/>
      <c r="D64" s="42"/>
      <c r="E64" s="43"/>
      <c r="F64" s="42"/>
      <c r="G64" s="44">
        <f>SUM(G65)</f>
        <v>720263.5440000001</v>
      </c>
      <c r="H64" s="44">
        <f>SUM(H65)</f>
        <v>60021.96200000001</v>
      </c>
      <c r="I64" s="44">
        <f>SUM(I65)</f>
        <v>1.54</v>
      </c>
    </row>
    <row r="65" spans="1:9" ht="15">
      <c r="A65" s="33"/>
      <c r="B65" s="37" t="s">
        <v>86</v>
      </c>
      <c r="C65" s="27">
        <v>38975.3</v>
      </c>
      <c r="D65" s="28">
        <v>1.54</v>
      </c>
      <c r="E65" s="38" t="s">
        <v>87</v>
      </c>
      <c r="F65" s="28">
        <v>12</v>
      </c>
      <c r="G65" s="29">
        <f>C65*D65*F65</f>
        <v>720263.5440000001</v>
      </c>
      <c r="H65" s="30">
        <f>+G65/12</f>
        <v>60021.96200000001</v>
      </c>
      <c r="I65" s="30">
        <f>H65/SUM($C$1:$C$2)</f>
        <v>1.54</v>
      </c>
    </row>
    <row r="66" spans="1:9" ht="15">
      <c r="A66" s="18" t="s">
        <v>88</v>
      </c>
      <c r="B66" s="40" t="s">
        <v>89</v>
      </c>
      <c r="C66" s="41"/>
      <c r="D66" s="42"/>
      <c r="E66" s="43"/>
      <c r="F66" s="42"/>
      <c r="G66" s="44">
        <f>SUM(G67:G68)</f>
        <v>561994.3200000001</v>
      </c>
      <c r="H66" s="44">
        <f>SUM(H67:H68)</f>
        <v>46832.86000000001</v>
      </c>
      <c r="I66" s="44">
        <f>SUM(I67:I68)</f>
        <v>1.2016035797030429</v>
      </c>
    </row>
    <row r="67" spans="1:9" ht="15">
      <c r="A67" s="33"/>
      <c r="B67" s="37" t="s">
        <v>90</v>
      </c>
      <c r="C67" s="27">
        <v>1</v>
      </c>
      <c r="D67" s="28">
        <v>44470.36</v>
      </c>
      <c r="E67" s="38" t="s">
        <v>91</v>
      </c>
      <c r="F67" s="28">
        <v>12</v>
      </c>
      <c r="G67" s="29">
        <f>C67*D67*F67</f>
        <v>533644.3200000001</v>
      </c>
      <c r="H67" s="30">
        <f>+G67/12</f>
        <v>44470.36000000001</v>
      </c>
      <c r="I67" s="30">
        <f>H67/SUM($C$1:$C$2)</f>
        <v>1.140988266928029</v>
      </c>
    </row>
    <row r="68" spans="1:9" ht="15">
      <c r="A68" s="33"/>
      <c r="B68" s="37" t="s">
        <v>92</v>
      </c>
      <c r="C68" s="27">
        <v>1</v>
      </c>
      <c r="D68" s="28">
        <v>28350</v>
      </c>
      <c r="E68" s="38" t="s">
        <v>91</v>
      </c>
      <c r="F68" s="28">
        <v>1</v>
      </c>
      <c r="G68" s="29">
        <f>C68*D68</f>
        <v>28350</v>
      </c>
      <c r="H68" s="30">
        <f>+G68/12</f>
        <v>2362.5</v>
      </c>
      <c r="I68" s="30">
        <f>H68/SUM($C$1:$C$2)</f>
        <v>0.06061531277501391</v>
      </c>
    </row>
    <row r="69" spans="1:9" ht="15">
      <c r="A69" s="18" t="s">
        <v>93</v>
      </c>
      <c r="B69" s="40" t="s">
        <v>94</v>
      </c>
      <c r="C69" s="41"/>
      <c r="D69" s="42"/>
      <c r="E69" s="43"/>
      <c r="F69" s="42"/>
      <c r="G69" s="44">
        <f>SUM(G70)</f>
        <v>61600</v>
      </c>
      <c r="H69" s="44">
        <f>SUM(H70)</f>
        <v>5133.333333333333</v>
      </c>
      <c r="I69" s="44">
        <f>SUM(I70)</f>
        <v>0.13170734627657343</v>
      </c>
    </row>
    <row r="70" spans="1:9" ht="15">
      <c r="A70" s="33"/>
      <c r="B70" s="37" t="s">
        <v>95</v>
      </c>
      <c r="C70" s="27">
        <v>40</v>
      </c>
      <c r="D70" s="28">
        <v>1540</v>
      </c>
      <c r="E70" s="38" t="s">
        <v>68</v>
      </c>
      <c r="F70" s="28">
        <v>1</v>
      </c>
      <c r="G70" s="29">
        <f>C70*D70*F70</f>
        <v>61600</v>
      </c>
      <c r="H70" s="30">
        <f>+G70/12</f>
        <v>5133.333333333333</v>
      </c>
      <c r="I70" s="30">
        <f>H70/SUM($C$1:$C$2)</f>
        <v>0.13170734627657343</v>
      </c>
    </row>
    <row r="71" spans="1:9" ht="15">
      <c r="A71" s="18" t="s">
        <v>96</v>
      </c>
      <c r="B71" s="40" t="s">
        <v>97</v>
      </c>
      <c r="C71" s="41"/>
      <c r="D71" s="42"/>
      <c r="E71" s="43"/>
      <c r="F71" s="42"/>
      <c r="G71" s="44">
        <f>SUM(G72)</f>
        <v>108000</v>
      </c>
      <c r="H71" s="44">
        <f>SUM(H72)</f>
        <v>9000</v>
      </c>
      <c r="I71" s="44">
        <f>SUM(I72)</f>
        <v>0.23091547723814826</v>
      </c>
    </row>
    <row r="72" spans="1:9" ht="15">
      <c r="A72" s="33"/>
      <c r="B72" s="37" t="s">
        <v>98</v>
      </c>
      <c r="C72" s="27">
        <v>450</v>
      </c>
      <c r="D72" s="28">
        <v>240</v>
      </c>
      <c r="E72" s="38" t="s">
        <v>68</v>
      </c>
      <c r="F72" s="28">
        <v>1</v>
      </c>
      <c r="G72" s="29">
        <f>C72*D72*F72</f>
        <v>108000</v>
      </c>
      <c r="H72" s="30">
        <f>+G72/12</f>
        <v>9000</v>
      </c>
      <c r="I72" s="30">
        <f>H72/SUM($C$1:$C$2)</f>
        <v>0.23091547723814826</v>
      </c>
    </row>
    <row r="73" spans="1:9" ht="15">
      <c r="A73" s="18" t="s">
        <v>99</v>
      </c>
      <c r="B73" s="40" t="s">
        <v>100</v>
      </c>
      <c r="C73" s="41"/>
      <c r="D73" s="42"/>
      <c r="E73" s="43"/>
      <c r="F73" s="42"/>
      <c r="G73" s="44">
        <f>SUM(G74)</f>
        <v>0</v>
      </c>
      <c r="H73" s="44">
        <f>SUM(H74)</f>
        <v>0</v>
      </c>
      <c r="I73" s="44">
        <f>SUM(I74)</f>
        <v>0</v>
      </c>
    </row>
    <row r="74" spans="1:9" ht="51.75">
      <c r="A74" s="33"/>
      <c r="B74" s="45" t="s">
        <v>101</v>
      </c>
      <c r="C74" s="27">
        <v>38975.3</v>
      </c>
      <c r="D74" s="28"/>
      <c r="E74" s="38"/>
      <c r="F74" s="28">
        <v>12</v>
      </c>
      <c r="G74" s="29">
        <f>C74*D74*F74</f>
        <v>0</v>
      </c>
      <c r="H74" s="30">
        <f>+G74/12</f>
        <v>0</v>
      </c>
      <c r="I74" s="30">
        <f>H74/SUM($C$1:$C$2)</f>
        <v>0</v>
      </c>
    </row>
    <row r="75" spans="1:9" ht="15">
      <c r="A75" s="18" t="s">
        <v>102</v>
      </c>
      <c r="B75" s="40" t="s">
        <v>103</v>
      </c>
      <c r="C75" s="41"/>
      <c r="D75" s="42"/>
      <c r="E75" s="43"/>
      <c r="F75" s="42"/>
      <c r="G75" s="44">
        <f>SUM(G76)</f>
        <v>1291103.3454545457</v>
      </c>
      <c r="H75" s="44">
        <f>SUM(H76)</f>
        <v>107591.94545454548</v>
      </c>
      <c r="I75" s="44">
        <f>SUM(I76)</f>
        <v>2.760516159068576</v>
      </c>
    </row>
    <row r="76" spans="1:9" ht="15">
      <c r="A76" s="33"/>
      <c r="B76" s="47" t="s">
        <v>104</v>
      </c>
      <c r="C76" s="48">
        <v>18</v>
      </c>
      <c r="D76" s="49">
        <v>5977.330303030303</v>
      </c>
      <c r="E76" s="38" t="s">
        <v>91</v>
      </c>
      <c r="F76" s="30">
        <v>12</v>
      </c>
      <c r="G76" s="29">
        <f>C76*D76*F76</f>
        <v>1291103.3454545457</v>
      </c>
      <c r="H76" s="30">
        <f>+G76/12</f>
        <v>107591.94545454548</v>
      </c>
      <c r="I76" s="30">
        <f>H76/SUM($C$1:$C$2)</f>
        <v>2.760516159068576</v>
      </c>
    </row>
    <row r="77" spans="1:9" ht="15">
      <c r="A77" s="18" t="s">
        <v>105</v>
      </c>
      <c r="B77" s="40" t="s">
        <v>106</v>
      </c>
      <c r="C77" s="41"/>
      <c r="D77" s="42"/>
      <c r="E77" s="43"/>
      <c r="F77" s="42"/>
      <c r="G77" s="44">
        <f>SUM(G78:G81)</f>
        <v>946382.0457144231</v>
      </c>
      <c r="H77" s="44">
        <f>SUM(H78:H81)</f>
        <v>78865.17047620192</v>
      </c>
      <c r="I77" s="44">
        <f>SUM(I78:I81)</f>
        <v>2.023465386442232</v>
      </c>
    </row>
    <row r="78" spans="1:9" ht="327.75" customHeight="1">
      <c r="A78" s="33"/>
      <c r="B78" s="45" t="s">
        <v>107</v>
      </c>
      <c r="C78" s="27">
        <v>38975.3</v>
      </c>
      <c r="D78" s="50">
        <v>0.96</v>
      </c>
      <c r="E78" s="38" t="s">
        <v>108</v>
      </c>
      <c r="F78" s="30">
        <v>12</v>
      </c>
      <c r="G78" s="29">
        <f>C78*D78*F78</f>
        <v>448995.456</v>
      </c>
      <c r="H78" s="30">
        <f>+G78/12</f>
        <v>37416.288</v>
      </c>
      <c r="I78" s="30">
        <f>H78/SUM($C$1:$C$2)</f>
        <v>0.96</v>
      </c>
    </row>
    <row r="79" spans="1:9" ht="51.75">
      <c r="A79" s="33"/>
      <c r="B79" s="45" t="s">
        <v>109</v>
      </c>
      <c r="C79" s="27">
        <v>36374.9</v>
      </c>
      <c r="D79" s="46">
        <v>0.2823002256006729</v>
      </c>
      <c r="E79" s="38" t="s">
        <v>110</v>
      </c>
      <c r="F79" s="30">
        <v>12</v>
      </c>
      <c r="G79" s="29">
        <f>C79*D79*F79</f>
        <v>123223.70971442302</v>
      </c>
      <c r="H79" s="30">
        <f>+G79/12</f>
        <v>10268.642476201918</v>
      </c>
      <c r="I79" s="30">
        <f>H79/SUM($C$1:$C$2)</f>
        <v>0.2634653864422318</v>
      </c>
    </row>
    <row r="80" spans="1:9" ht="26.25">
      <c r="A80" s="33"/>
      <c r="B80" s="47" t="s">
        <v>111</v>
      </c>
      <c r="C80" s="27">
        <v>38975.3</v>
      </c>
      <c r="D80" s="50"/>
      <c r="E80" s="38" t="s">
        <v>108</v>
      </c>
      <c r="F80" s="30">
        <v>12</v>
      </c>
      <c r="G80" s="29">
        <f>C80*D80*F80</f>
        <v>0</v>
      </c>
      <c r="H80" s="30">
        <f>+G80/12</f>
        <v>0</v>
      </c>
      <c r="I80" s="30">
        <f>H80/SUM($C$1:$C$2)</f>
        <v>0</v>
      </c>
    </row>
    <row r="81" spans="1:9" ht="15">
      <c r="A81" s="33"/>
      <c r="B81" s="47" t="s">
        <v>112</v>
      </c>
      <c r="C81" s="27">
        <v>38975.3</v>
      </c>
      <c r="D81" s="50">
        <v>0.8</v>
      </c>
      <c r="E81" s="38" t="s">
        <v>108</v>
      </c>
      <c r="F81" s="30">
        <v>12</v>
      </c>
      <c r="G81" s="29">
        <f>C81*D81*F81</f>
        <v>374162.88000000006</v>
      </c>
      <c r="H81" s="30">
        <f>+G81/12</f>
        <v>31180.240000000005</v>
      </c>
      <c r="I81" s="30">
        <f>H81/SUM($C$1:$C$2)</f>
        <v>0.8</v>
      </c>
    </row>
    <row r="82" spans="1:9" ht="15">
      <c r="A82" s="51"/>
      <c r="B82" s="52" t="s">
        <v>113</v>
      </c>
      <c r="C82" s="53"/>
      <c r="D82" s="52"/>
      <c r="E82" s="52"/>
      <c r="F82" s="54"/>
      <c r="G82" s="54">
        <f>G6+G18+G45+G51+G54+G57+G59+G62+G64+G66+G69+G71+G73+G83+G75+G77</f>
        <v>11144181.121661482</v>
      </c>
      <c r="H82" s="54">
        <f>H6+H18+H45+H51+H54+H57+H59+H62+H64+H66+H69+H71+H73+H83+H75+H77</f>
        <v>928681.7601384567</v>
      </c>
      <c r="I82" s="54">
        <f>I6+I18+I45+I51+I54+I57+I59+I62+I64+I66+I69+I71+I73+I75+I77</f>
        <v>22.08175845056887</v>
      </c>
    </row>
    <row r="83" spans="1:9" ht="15">
      <c r="A83" s="18"/>
      <c r="B83" s="40" t="s">
        <v>114</v>
      </c>
      <c r="C83" s="41"/>
      <c r="D83" s="42"/>
      <c r="E83" s="43"/>
      <c r="F83" s="42"/>
      <c r="G83" s="44">
        <f>SUM(G84)</f>
        <v>816463.2000000001</v>
      </c>
      <c r="H83" s="44">
        <f>SUM(H84)</f>
        <v>68038.6</v>
      </c>
      <c r="I83" s="44">
        <f>SUM(I84)</f>
        <v>1.7456850877350527</v>
      </c>
    </row>
    <row r="84" spans="1:9" ht="15">
      <c r="A84" s="33"/>
      <c r="B84" s="37" t="s">
        <v>115</v>
      </c>
      <c r="C84" s="27">
        <v>338.08000000000004</v>
      </c>
      <c r="D84" s="28">
        <v>201.24999999999997</v>
      </c>
      <c r="E84" s="38" t="s">
        <v>108</v>
      </c>
      <c r="F84" s="28">
        <v>12</v>
      </c>
      <c r="G84" s="29">
        <f>C84*D84*F84</f>
        <v>816463.2000000001</v>
      </c>
      <c r="H84" s="30">
        <f>+G84/12</f>
        <v>68038.6</v>
      </c>
      <c r="I84" s="30">
        <f>H84/SUM($C$1:$C$2)</f>
        <v>1.7456850877350527</v>
      </c>
    </row>
    <row r="85" spans="1:9" ht="15">
      <c r="A85" s="51"/>
      <c r="B85" s="52" t="s">
        <v>116</v>
      </c>
      <c r="C85" s="53"/>
      <c r="D85" s="52"/>
      <c r="E85" s="52"/>
      <c r="F85" s="54"/>
      <c r="G85" s="54">
        <f>G82+G83</f>
        <v>11960644.321661482</v>
      </c>
      <c r="H85" s="54">
        <f>H82+H83</f>
        <v>996720.3601384567</v>
      </c>
      <c r="I85" s="54">
        <f>I82+I83</f>
        <v>23.82744353830392</v>
      </c>
    </row>
    <row r="86" spans="1:9" ht="15">
      <c r="A86" s="18"/>
      <c r="B86" s="40" t="s">
        <v>117</v>
      </c>
      <c r="C86" s="41"/>
      <c r="D86" s="42"/>
      <c r="E86" s="43"/>
      <c r="F86" s="42"/>
      <c r="G86" s="44"/>
      <c r="H86" s="44"/>
      <c r="I86" s="44"/>
    </row>
    <row r="87" spans="1:9" ht="15">
      <c r="A87" s="33"/>
      <c r="B87" s="37" t="s">
        <v>118</v>
      </c>
      <c r="C87" s="27">
        <v>38975.3</v>
      </c>
      <c r="D87" s="28">
        <v>5.541971453715558</v>
      </c>
      <c r="E87" s="38" t="s">
        <v>119</v>
      </c>
      <c r="F87" s="28">
        <v>12</v>
      </c>
      <c r="G87" s="29">
        <f>C87*D87*F87</f>
        <v>2592000</v>
      </c>
      <c r="H87" s="30">
        <f>+G87/12</f>
        <v>216000</v>
      </c>
      <c r="I87" s="30">
        <f>H87/C87</f>
        <v>5.541971453715558</v>
      </c>
    </row>
    <row r="88" spans="1:9" ht="15">
      <c r="A88" s="1"/>
      <c r="B88" s="3"/>
      <c r="C88" s="2"/>
      <c r="D88" s="3"/>
      <c r="E88" s="3"/>
      <c r="F88" s="5"/>
      <c r="G88" s="5"/>
      <c r="H88" s="5"/>
      <c r="I88" s="5"/>
    </row>
    <row r="89" spans="1:9" ht="15">
      <c r="A89" s="1"/>
      <c r="B89" s="3"/>
      <c r="C89" s="55"/>
      <c r="D89" s="3"/>
      <c r="E89" s="55"/>
      <c r="F89" s="5"/>
      <c r="G89" s="5"/>
      <c r="H89" s="5"/>
      <c r="I89" s="5"/>
    </row>
    <row r="90" spans="1:9" ht="15">
      <c r="A90" s="1"/>
      <c r="B90" s="3"/>
      <c r="C90" s="55"/>
      <c r="D90" s="3"/>
      <c r="E90" s="3"/>
      <c r="F90" s="5"/>
      <c r="G90" s="5"/>
      <c r="H90" s="5"/>
      <c r="I90" s="5"/>
    </row>
    <row r="91" spans="1:9" ht="15">
      <c r="A91" s="1"/>
      <c r="B91" s="3"/>
      <c r="C91" s="2"/>
      <c r="D91" s="3"/>
      <c r="E91" s="3"/>
      <c r="F91" s="5"/>
      <c r="G91" s="5"/>
      <c r="H91" s="5"/>
      <c r="I91" s="5"/>
    </row>
    <row r="92" spans="1:9" ht="15">
      <c r="A92" s="1"/>
      <c r="B92" s="3"/>
      <c r="C92" s="55"/>
      <c r="D92" s="3"/>
      <c r="E92" s="55"/>
      <c r="F92" s="5"/>
      <c r="G92" s="5"/>
      <c r="H92" s="5"/>
      <c r="I92" s="5"/>
    </row>
    <row r="93" spans="1:9" ht="15">
      <c r="A93" s="1"/>
      <c r="B93" s="3"/>
      <c r="C93" s="55"/>
      <c r="D93" s="3"/>
      <c r="E93" s="3"/>
      <c r="F93" s="5"/>
      <c r="G93" s="5"/>
      <c r="H93" s="5"/>
      <c r="I93" s="5"/>
    </row>
    <row r="94" spans="1:9" ht="15">
      <c r="A94" s="1"/>
      <c r="B94" s="3"/>
      <c r="C94" s="2"/>
      <c r="D94" s="3"/>
      <c r="E94" s="3"/>
      <c r="F94" s="5"/>
      <c r="G94" s="5"/>
      <c r="H94" s="5"/>
      <c r="I94" s="5"/>
    </row>
    <row r="95" spans="1:9" ht="15">
      <c r="A95" s="1"/>
      <c r="B95" s="3"/>
      <c r="C95" s="2"/>
      <c r="D95" s="3"/>
      <c r="E95" s="3"/>
      <c r="F95" s="5"/>
      <c r="G95" s="5"/>
      <c r="H95" s="5"/>
      <c r="I95" s="5"/>
    </row>
    <row r="96" spans="1:9" ht="15">
      <c r="A96" s="1"/>
      <c r="B96" s="3"/>
      <c r="C96" s="2"/>
      <c r="D96" s="3"/>
      <c r="E96" s="3"/>
      <c r="F96" s="5"/>
      <c r="G96" s="5"/>
      <c r="H96" s="5"/>
      <c r="I96" s="5"/>
    </row>
    <row r="97" spans="1:9" ht="15">
      <c r="A97" s="1"/>
      <c r="B97" s="3"/>
      <c r="C97" s="2"/>
      <c r="D97" s="3"/>
      <c r="E97" s="3"/>
      <c r="F97" s="5"/>
      <c r="G97" s="5"/>
      <c r="H97" s="5"/>
      <c r="I97" s="5"/>
    </row>
  </sheetData>
  <sheetProtection/>
  <mergeCells count="2">
    <mergeCell ref="A4:A5"/>
    <mergeCell ref="B4:B5"/>
  </mergeCells>
  <printOptions/>
  <pageMargins left="0.7" right="0.7" top="0.75" bottom="0.75" header="0.3" footer="0.3"/>
  <pageSetup horizontalDpi="600" verticalDpi="600" orientation="portrait" paperSize="9" scale="61" r:id="rId1"/>
  <rowBreaks count="1" manualBreakCount="1">
    <brk id="5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</dc:creator>
  <cp:keywords/>
  <dc:description/>
  <cp:lastModifiedBy>Людмила</cp:lastModifiedBy>
  <dcterms:created xsi:type="dcterms:W3CDTF">2016-09-16T07:45:02Z</dcterms:created>
  <dcterms:modified xsi:type="dcterms:W3CDTF">2016-10-24T04:37:35Z</dcterms:modified>
  <cp:category/>
  <cp:version/>
  <cp:contentType/>
  <cp:contentStatus/>
</cp:coreProperties>
</file>